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umai\Downloads\"/>
    </mc:Choice>
  </mc:AlternateContent>
  <xr:revisionPtr revIDLastSave="0" documentId="13_ncr:1_{4BB219D2-9928-45BE-8D33-10019EA15A3E}" xr6:coauthVersionLast="47" xr6:coauthVersionMax="47" xr10:uidLastSave="{00000000-0000-0000-0000-000000000000}"/>
  <bookViews>
    <workbookView xWindow="33480" yWindow="-120" windowWidth="29040" windowHeight="15720" activeTab="5" xr2:uid="{00000000-000D-0000-FFFF-FFFF00000000}"/>
  </bookViews>
  <sheets>
    <sheet name="MetaData" sheetId="6" r:id="rId1"/>
    <sheet name="Density" sheetId="2" r:id="rId2"/>
    <sheet name="Airport MI" sheetId="3" r:id="rId3"/>
    <sheet name="Thickness" sheetId="4" r:id="rId4"/>
    <sheet name="Airport MS" sheetId="1" r:id="rId5"/>
    <sheet name="Reinforcement Factor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I5" i="1"/>
  <c r="E5" i="1"/>
  <c r="F5" i="1"/>
  <c r="G5" i="1"/>
  <c r="H5" i="1"/>
  <c r="D5" i="1"/>
  <c r="F4" i="3" l="1"/>
  <c r="E4" i="3"/>
  <c r="H4" i="1" s="1"/>
  <c r="D4" i="3"/>
  <c r="C4" i="3"/>
  <c r="F4" i="1" s="1"/>
  <c r="B4" i="3"/>
  <c r="D4" i="1" s="1"/>
  <c r="F3" i="3"/>
  <c r="E3" i="3"/>
  <c r="H3" i="1" s="1"/>
  <c r="D3" i="3"/>
  <c r="G3" i="1" s="1"/>
  <c r="C3" i="3"/>
  <c r="E3" i="1" s="1"/>
  <c r="B3" i="3"/>
  <c r="D3" i="1" s="1"/>
  <c r="F2" i="3"/>
  <c r="E2" i="3"/>
  <c r="D2" i="3"/>
  <c r="G2" i="1" s="1"/>
  <c r="C2" i="3"/>
  <c r="E2" i="1" s="1"/>
  <c r="B2" i="3"/>
  <c r="D2" i="1" s="1"/>
  <c r="G4" i="1"/>
  <c r="H2" i="1"/>
  <c r="F3" i="1" l="1"/>
  <c r="I3" i="1" s="1"/>
  <c r="J3" i="1" s="1"/>
  <c r="F2" i="1"/>
  <c r="I2" i="1" s="1"/>
  <c r="J2" i="1" s="1"/>
  <c r="E4" i="1"/>
  <c r="I4" i="1" s="1"/>
  <c r="J4" i="1" s="1"/>
</calcChain>
</file>

<file path=xl/sharedStrings.xml><?xml version="1.0" encoding="utf-8"?>
<sst xmlns="http://schemas.openxmlformats.org/spreadsheetml/2006/main" count="75" uniqueCount="57">
  <si>
    <t>aid</t>
  </si>
  <si>
    <t>component</t>
  </si>
  <si>
    <t>area</t>
  </si>
  <si>
    <t>asphalt_ms</t>
  </si>
  <si>
    <t>concrete_ms</t>
  </si>
  <si>
    <t>steel_ms</t>
  </si>
  <si>
    <t>base_ms</t>
  </si>
  <si>
    <t>stabilized_base_ms</t>
  </si>
  <si>
    <t>total_ms_tonne</t>
  </si>
  <si>
    <t>Runways</t>
  </si>
  <si>
    <t>Taxiways</t>
  </si>
  <si>
    <t>Apron</t>
  </si>
  <si>
    <t>Material</t>
  </si>
  <si>
    <t>Density</t>
  </si>
  <si>
    <t>Asphalt</t>
  </si>
  <si>
    <t>Concrete</t>
  </si>
  <si>
    <t>Base</t>
  </si>
  <si>
    <t>Sub-Base</t>
  </si>
  <si>
    <t>Component</t>
  </si>
  <si>
    <t>Asphalt MI</t>
  </si>
  <si>
    <t>Concrete MI</t>
  </si>
  <si>
    <t>Base MI</t>
  </si>
  <si>
    <t>Steel MI</t>
  </si>
  <si>
    <t>Base Thickness</t>
  </si>
  <si>
    <t>Sub-Base Thickness</t>
  </si>
  <si>
    <t>Reinforcement Factor</t>
  </si>
  <si>
    <t>RESEARCH DATASET METADATA</t>
  </si>
  <si>
    <t>PROJECT INFORMATION</t>
  </si>
  <si>
    <t>Research Title</t>
  </si>
  <si>
    <t>How Exposed and Threatened is Mauritius's Infrastructure to Climate Risks? A Material Stock Perspective</t>
  </si>
  <si>
    <t>Researcher</t>
  </si>
  <si>
    <t>Sumaita Rahman, University of Waterloo, School of Environment, Resources and Sustainability (SEED Faculty), Email: sn3rahman@uwaterloo.ca</t>
  </si>
  <si>
    <t>Supervisor</t>
  </si>
  <si>
    <t>Simron Singh, University of Waterloo, School of Environment, Resources and Sustainability (SEED Faculty), Email: simron.singh@uwaterloo.ca</t>
  </si>
  <si>
    <t>Committee Member</t>
  </si>
  <si>
    <t>Mahendra Gooroochurn, University of Mauritius, Email: m.gooroochurn@uom.ac.mu</t>
  </si>
  <si>
    <t>Dataset Type</t>
  </si>
  <si>
    <t>Study Area</t>
  </si>
  <si>
    <t>Main Island of Mauritius, Rodrigues Island</t>
  </si>
  <si>
    <t>Tab Name</t>
  </si>
  <si>
    <t>Unit</t>
  </si>
  <si>
    <t>Role</t>
  </si>
  <si>
    <t>kg/m³</t>
  </si>
  <si>
    <t>Input Parameters</t>
  </si>
  <si>
    <t>Metres (m)</t>
  </si>
  <si>
    <t xml:space="preserve"> kg/m²</t>
  </si>
  <si>
    <t>Material Intensity Lookup</t>
  </si>
  <si>
    <t>Airport Material Intensity (MI)</t>
  </si>
  <si>
    <t>total_ms_kg</t>
  </si>
  <si>
    <t>Airport MS (Area)</t>
  </si>
  <si>
    <t>m²</t>
  </si>
  <si>
    <t xml:space="preserve">Total </t>
  </si>
  <si>
    <t>Airport MS (Total)</t>
  </si>
  <si>
    <t>Tonnes</t>
  </si>
  <si>
    <t>Thickness</t>
  </si>
  <si>
    <t>Main Output</t>
  </si>
  <si>
    <r>
      <t xml:space="preserve">Airport Material Stock Calculation Sheet: </t>
    </r>
    <r>
      <rPr>
        <b/>
        <sz val="10"/>
        <color rgb="FF000000"/>
        <rFont val="Arial"/>
        <family val="2"/>
      </rPr>
      <t>Rodrigues Island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</si>
</sst>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2"/>
      <color theme="1"/>
      <name val="EB Garamond"/>
    </font>
    <font>
      <sz val="12"/>
      <color theme="1"/>
      <name val="EB Garamond"/>
    </font>
    <font>
      <b/>
      <sz val="16"/>
      <color rgb="FFFFFFFF"/>
      <name val="Arial"/>
      <family val="2"/>
    </font>
    <font>
      <b/>
      <sz val="11"/>
      <color rgb="FFFFFFFF"/>
      <name val="Arial"/>
      <family val="2"/>
    </font>
    <font>
      <b/>
      <sz val="10"/>
      <color rgb="FF1F3864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i/>
      <sz val="9"/>
      <color rgb="FF1E6B3C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FFFFF"/>
      </patternFill>
    </fill>
    <fill>
      <patternFill patternType="solid">
        <fgColor rgb="FF595959"/>
      </patternFill>
    </fill>
    <fill>
      <patternFill patternType="solid">
        <fgColor rgb="FFD6E4F0"/>
      </patternFill>
    </fill>
    <fill>
      <patternFill patternType="solid">
        <fgColor theme="2" tint="-4.9989318521683403E-2"/>
        <bgColor rgb="FFFF0000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F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3" borderId="0" xfId="0" applyFont="1" applyFill="1" applyAlignment="1">
      <alignment horizontal="center" vertical="center"/>
    </xf>
    <xf numFmtId="0" fontId="0" fillId="0" borderId="0" xfId="0"/>
    <xf numFmtId="0" fontId="4" fillId="4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6" fillId="2" borderId="1" xfId="0" applyFont="1" applyFill="1" applyBorder="1" applyAlignment="1">
      <alignment horizontal="left" vertical="center" wrapText="1" indent="1"/>
    </xf>
    <xf numFmtId="0" fontId="0" fillId="0" borderId="1" xfId="0" applyBorder="1"/>
    <xf numFmtId="0" fontId="5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 indent="1"/>
    </xf>
    <xf numFmtId="0" fontId="7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8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EF6C7-CA97-4643-934B-6D2E5D59CAE1}">
  <dimension ref="A1:G18"/>
  <sheetViews>
    <sheetView workbookViewId="0">
      <selection activeCell="C23" sqref="C23"/>
    </sheetView>
  </sheetViews>
  <sheetFormatPr defaultRowHeight="12.5" x14ac:dyDescent="0.25"/>
  <cols>
    <col min="1" max="1" width="26.453125" bestFit="1" customWidth="1"/>
    <col min="2" max="2" width="9.36328125" bestFit="1" customWidth="1"/>
    <col min="3" max="3" width="19.453125" customWidth="1"/>
    <col min="7" max="7" width="78.81640625" customWidth="1"/>
  </cols>
  <sheetData>
    <row r="1" spans="1:7" ht="20" x14ac:dyDescent="0.25">
      <c r="A1" s="3" t="s">
        <v>26</v>
      </c>
      <c r="B1" s="4"/>
      <c r="C1" s="4"/>
      <c r="D1" s="4"/>
      <c r="E1" s="4"/>
      <c r="F1" s="4"/>
      <c r="G1" s="4"/>
    </row>
    <row r="2" spans="1:7" ht="14" x14ac:dyDescent="0.25">
      <c r="A2" s="5" t="s">
        <v>27</v>
      </c>
      <c r="B2" s="6"/>
      <c r="C2" s="6"/>
      <c r="D2" s="6"/>
      <c r="E2" s="6"/>
      <c r="F2" s="6"/>
      <c r="G2" s="6"/>
    </row>
    <row r="3" spans="1:7" ht="13" x14ac:dyDescent="0.25">
      <c r="A3" s="7" t="s">
        <v>28</v>
      </c>
      <c r="B3" s="8"/>
      <c r="C3" s="9" t="s">
        <v>29</v>
      </c>
      <c r="D3" s="10"/>
      <c r="E3" s="10"/>
      <c r="F3" s="10"/>
      <c r="G3" s="10"/>
    </row>
    <row r="4" spans="1:7" ht="13" x14ac:dyDescent="0.25">
      <c r="A4" s="11" t="s">
        <v>30</v>
      </c>
      <c r="B4" s="8"/>
      <c r="C4" s="12" t="s">
        <v>31</v>
      </c>
      <c r="D4" s="10"/>
      <c r="E4" s="10"/>
      <c r="F4" s="10"/>
      <c r="G4" s="10"/>
    </row>
    <row r="5" spans="1:7" ht="13" x14ac:dyDescent="0.25">
      <c r="A5" s="7" t="s">
        <v>32</v>
      </c>
      <c r="B5" s="8"/>
      <c r="C5" s="9" t="s">
        <v>33</v>
      </c>
      <c r="D5" s="10"/>
      <c r="E5" s="10"/>
      <c r="F5" s="10"/>
      <c r="G5" s="10"/>
    </row>
    <row r="6" spans="1:7" ht="13" x14ac:dyDescent="0.25">
      <c r="A6" s="11" t="s">
        <v>34</v>
      </c>
      <c r="B6" s="8"/>
      <c r="C6" s="12" t="s">
        <v>35</v>
      </c>
      <c r="D6" s="10"/>
      <c r="E6" s="10"/>
      <c r="F6" s="10"/>
      <c r="G6" s="10"/>
    </row>
    <row r="7" spans="1:7" ht="13" x14ac:dyDescent="0.25">
      <c r="A7" s="11" t="s">
        <v>36</v>
      </c>
      <c r="B7" s="8"/>
      <c r="C7" s="12" t="s">
        <v>56</v>
      </c>
      <c r="D7" s="10"/>
      <c r="E7" s="10"/>
      <c r="F7" s="10"/>
      <c r="G7" s="10"/>
    </row>
    <row r="8" spans="1:7" ht="13" x14ac:dyDescent="0.25">
      <c r="A8" s="11" t="s">
        <v>37</v>
      </c>
      <c r="B8" s="8"/>
      <c r="C8" s="12" t="s">
        <v>38</v>
      </c>
      <c r="D8" s="10"/>
      <c r="E8" s="10"/>
      <c r="F8" s="10"/>
      <c r="G8" s="10"/>
    </row>
    <row r="12" spans="1:7" ht="26" x14ac:dyDescent="0.25">
      <c r="A12" s="13" t="s">
        <v>39</v>
      </c>
      <c r="B12" s="13" t="s">
        <v>40</v>
      </c>
      <c r="C12" s="13" t="s">
        <v>41</v>
      </c>
    </row>
    <row r="13" spans="1:7" ht="13" x14ac:dyDescent="0.25">
      <c r="A13" s="14" t="s">
        <v>13</v>
      </c>
      <c r="B13" s="15" t="s">
        <v>42</v>
      </c>
      <c r="C13" s="16" t="s">
        <v>43</v>
      </c>
    </row>
    <row r="14" spans="1:7" ht="13" x14ac:dyDescent="0.25">
      <c r="A14" s="14" t="s">
        <v>47</v>
      </c>
      <c r="B14" s="15" t="s">
        <v>45</v>
      </c>
      <c r="C14" s="16" t="s">
        <v>46</v>
      </c>
    </row>
    <row r="15" spans="1:7" ht="13" x14ac:dyDescent="0.25">
      <c r="A15" s="14" t="s">
        <v>54</v>
      </c>
      <c r="B15" s="15" t="s">
        <v>44</v>
      </c>
      <c r="C15" s="16" t="s">
        <v>43</v>
      </c>
    </row>
    <row r="16" spans="1:7" ht="13" x14ac:dyDescent="0.25">
      <c r="A16" s="14" t="s">
        <v>49</v>
      </c>
      <c r="B16" s="15" t="s">
        <v>50</v>
      </c>
      <c r="C16" s="16" t="s">
        <v>43</v>
      </c>
    </row>
    <row r="17" spans="1:3" ht="13" x14ac:dyDescent="0.25">
      <c r="A17" s="14" t="s">
        <v>52</v>
      </c>
      <c r="B17" s="15" t="s">
        <v>53</v>
      </c>
      <c r="C17" s="16" t="s">
        <v>55</v>
      </c>
    </row>
    <row r="18" spans="1:3" ht="13" x14ac:dyDescent="0.25">
      <c r="A18" s="14" t="s">
        <v>25</v>
      </c>
      <c r="B18" s="15" t="s">
        <v>42</v>
      </c>
      <c r="C18" s="16" t="s">
        <v>43</v>
      </c>
    </row>
  </sheetData>
  <mergeCells count="14">
    <mergeCell ref="A8:B8"/>
    <mergeCell ref="C8:G8"/>
    <mergeCell ref="A5:B5"/>
    <mergeCell ref="C5:G5"/>
    <mergeCell ref="A6:B6"/>
    <mergeCell ref="C6:G6"/>
    <mergeCell ref="A7:B7"/>
    <mergeCell ref="C7:G7"/>
    <mergeCell ref="A1:G1"/>
    <mergeCell ref="A2:G2"/>
    <mergeCell ref="A3:B3"/>
    <mergeCell ref="C3:G3"/>
    <mergeCell ref="A4:B4"/>
    <mergeCell ref="C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pane ySplit="1" topLeftCell="A2" activePane="bottomLeft" state="frozen"/>
      <selection pane="bottomLeft" activeCell="C10" sqref="C10"/>
    </sheetView>
  </sheetViews>
  <sheetFormatPr defaultColWidth="12.6328125" defaultRowHeight="15.75" customHeight="1" x14ac:dyDescent="0.25"/>
  <cols>
    <col min="1" max="1" width="9" bestFit="1" customWidth="1"/>
    <col min="2" max="2" width="8.1796875" bestFit="1" customWidth="1"/>
    <col min="3" max="26" width="37.453125" customWidth="1"/>
  </cols>
  <sheetData>
    <row r="1" spans="1:26" ht="15.75" customHeight="1" x14ac:dyDescent="0.55000000000000004">
      <c r="A1" s="24" t="s">
        <v>12</v>
      </c>
      <c r="B1" s="24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55000000000000004">
      <c r="A2" s="20" t="s">
        <v>14</v>
      </c>
      <c r="B2" s="21">
        <v>2400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55000000000000004">
      <c r="A3" s="20" t="s">
        <v>15</v>
      </c>
      <c r="B3" s="21">
        <v>2400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55000000000000004">
      <c r="A4" s="20" t="s">
        <v>16</v>
      </c>
      <c r="B4" s="21">
        <v>2400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55000000000000004">
      <c r="A5" s="20" t="s">
        <v>17</v>
      </c>
      <c r="B5" s="21">
        <v>1680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5500000000000000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5500000000000000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5500000000000000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5500000000000000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5500000000000000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995"/>
  <sheetViews>
    <sheetView workbookViewId="0">
      <pane ySplit="1" topLeftCell="A2" activePane="bottomLeft" state="frozen"/>
      <selection pane="bottomLeft" activeCell="D12" sqref="D12"/>
    </sheetView>
  </sheetViews>
  <sheetFormatPr defaultColWidth="12.6328125" defaultRowHeight="15.75" customHeight="1" x14ac:dyDescent="0.25"/>
  <cols>
    <col min="1" max="1" width="11.90625" bestFit="1" customWidth="1"/>
    <col min="2" max="2" width="11.7265625" bestFit="1" customWidth="1"/>
    <col min="3" max="3" width="12.90625" bestFit="1" customWidth="1"/>
    <col min="4" max="4" width="8.453125" bestFit="1" customWidth="1"/>
    <col min="5" max="5" width="9.26953125" bestFit="1" customWidth="1"/>
    <col min="6" max="6" width="8.81640625" bestFit="1" customWidth="1"/>
  </cols>
  <sheetData>
    <row r="1" spans="1:26" ht="15.75" customHeight="1" x14ac:dyDescent="0.55000000000000004">
      <c r="A1" s="23" t="s">
        <v>18</v>
      </c>
      <c r="B1" s="23" t="s">
        <v>19</v>
      </c>
      <c r="C1" s="23" t="s">
        <v>20</v>
      </c>
      <c r="D1" s="23" t="s">
        <v>21</v>
      </c>
      <c r="E1" s="23" t="s">
        <v>17</v>
      </c>
      <c r="F1" s="23" t="s">
        <v>22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55000000000000004">
      <c r="A2" s="22" t="s">
        <v>9</v>
      </c>
      <c r="B2" s="22">
        <f>Thickness!B2 * VLOOKUP("Asphalt",Density!$A$2:$B$5,2,FALSE)</f>
        <v>240</v>
      </c>
      <c r="C2" s="22">
        <f>Thickness!C2 * VLOOKUP("Concrete",Density!$A$2:$B$5,2,FALSE)</f>
        <v>0</v>
      </c>
      <c r="D2" s="22">
        <f>Thickness!D2 * VLOOKUP("Base",Density!$A$2:$B$5,2,FALSE)</f>
        <v>720</v>
      </c>
      <c r="E2" s="22">
        <f>Thickness!E2 * VLOOKUP("Sub-Base",Density!$A$2:$B$5,2,FALSE)</f>
        <v>252</v>
      </c>
      <c r="F2" s="22">
        <f>IFERROR(VLOOKUP(A2,'Reinforcement Factor'!$A$2:$B$100,2,FALSE) * VLOOKUP(A2,Thickness!$A$2:$E$100,3,FALSE), 0)</f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55000000000000004">
      <c r="A3" s="22" t="s">
        <v>10</v>
      </c>
      <c r="B3" s="22">
        <f>Thickness!B3 * VLOOKUP("Asphalt",Density!$A$2:$B$5,2,FALSE)</f>
        <v>240</v>
      </c>
      <c r="C3" s="22">
        <f>Thickness!C3 * VLOOKUP("Concrete",Density!$A$2:$B$5,2,FALSE)</f>
        <v>0</v>
      </c>
      <c r="D3" s="22">
        <f>Thickness!D3 * VLOOKUP("Base",Density!$A$2:$B$5,2,FALSE)</f>
        <v>720</v>
      </c>
      <c r="E3" s="22">
        <f>Thickness!E3 * VLOOKUP("Sub-Base",Density!$A$2:$B$5,2,FALSE)</f>
        <v>252</v>
      </c>
      <c r="F3" s="22">
        <f>IFERROR(VLOOKUP(A3,'Reinforcement Factor'!$A$2:$B$100,2,FALSE) * VLOOKUP(A3,Thickness!$A$2:$E$100,3,FALSE), 0)</f>
        <v>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55000000000000004">
      <c r="A4" s="22" t="s">
        <v>11</v>
      </c>
      <c r="B4" s="22">
        <f>Thickness!B4 * VLOOKUP("Asphalt",Density!$A$2:$B$5,2,FALSE)</f>
        <v>0</v>
      </c>
      <c r="C4" s="22">
        <f>Thickness!C4 * VLOOKUP("Concrete",Density!$A$2:$B$5,2,FALSE)</f>
        <v>360</v>
      </c>
      <c r="D4" s="22">
        <f>Thickness!D4 * VLOOKUP("Base",Density!$A$2:$B$5,2,FALSE)</f>
        <v>720</v>
      </c>
      <c r="E4" s="22">
        <f>Thickness!E4 * VLOOKUP("Sub-Base",Density!$A$2:$B$5,2,FALSE)</f>
        <v>0</v>
      </c>
      <c r="F4" s="22">
        <f>IFERROR(VLOOKUP(A4,'Reinforcement Factor'!$A$2:$B$100,2,FALSE) * VLOOKUP(A4,Thickness!$A$2:$E$100,3,FALSE), 0)</f>
        <v>22.5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5500000000000000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5500000000000000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5500000000000000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5500000000000000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5500000000000000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5500000000000000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0"/>
  <sheetViews>
    <sheetView workbookViewId="0">
      <pane ySplit="1" topLeftCell="A2" activePane="bottomLeft" state="frozen"/>
      <selection pane="bottomLeft" activeCell="E12" sqref="E12"/>
    </sheetView>
  </sheetViews>
  <sheetFormatPr defaultColWidth="12.6328125" defaultRowHeight="15.75" customHeight="1" x14ac:dyDescent="0.25"/>
  <cols>
    <col min="1" max="1" width="11.90625" bestFit="1" customWidth="1"/>
    <col min="2" max="2" width="8.26953125" bestFit="1" customWidth="1"/>
    <col min="3" max="3" width="9.36328125" bestFit="1" customWidth="1"/>
    <col min="4" max="4" width="15.08984375" bestFit="1" customWidth="1"/>
    <col min="5" max="5" width="19.453125" bestFit="1" customWidth="1"/>
  </cols>
  <sheetData>
    <row r="1" spans="1:26" ht="15.75" customHeight="1" x14ac:dyDescent="0.55000000000000004">
      <c r="A1" s="23" t="s">
        <v>18</v>
      </c>
      <c r="B1" s="23" t="s">
        <v>14</v>
      </c>
      <c r="C1" s="23" t="s">
        <v>15</v>
      </c>
      <c r="D1" s="23" t="s">
        <v>23</v>
      </c>
      <c r="E1" s="23" t="s">
        <v>24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55000000000000004">
      <c r="A2" s="22" t="s">
        <v>9</v>
      </c>
      <c r="B2" s="22">
        <v>0.1</v>
      </c>
      <c r="C2" s="22">
        <v>0</v>
      </c>
      <c r="D2" s="22">
        <v>0.3</v>
      </c>
      <c r="E2" s="22">
        <v>0.15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55000000000000004">
      <c r="A3" s="22" t="s">
        <v>10</v>
      </c>
      <c r="B3" s="22">
        <v>0.1</v>
      </c>
      <c r="C3" s="22">
        <v>0</v>
      </c>
      <c r="D3" s="22">
        <v>0.3</v>
      </c>
      <c r="E3" s="22">
        <v>0.15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55000000000000004">
      <c r="A4" s="22" t="s">
        <v>11</v>
      </c>
      <c r="B4" s="22">
        <v>0</v>
      </c>
      <c r="C4" s="22">
        <v>0.15</v>
      </c>
      <c r="D4" s="22">
        <v>0.3</v>
      </c>
      <c r="E4" s="22">
        <v>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5500000000000000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5500000000000000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5500000000000000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5500000000000000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5500000000000000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5500000000000000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workbookViewId="0">
      <pane ySplit="1" topLeftCell="A2" activePane="bottomLeft" state="frozen"/>
      <selection pane="bottomLeft" activeCell="I13" sqref="I13"/>
    </sheetView>
  </sheetViews>
  <sheetFormatPr defaultColWidth="12.6328125" defaultRowHeight="15.75" customHeight="1" x14ac:dyDescent="0.25"/>
  <cols>
    <col min="1" max="1" width="3.81640625" bestFit="1" customWidth="1"/>
    <col min="2" max="2" width="11.26953125" bestFit="1" customWidth="1"/>
    <col min="3" max="4" width="13.08984375" bestFit="1" customWidth="1"/>
    <col min="5" max="5" width="12.81640625" bestFit="1" customWidth="1"/>
    <col min="6" max="6" width="11.81640625" bestFit="1" customWidth="1"/>
    <col min="7" max="7" width="13.08984375" bestFit="1" customWidth="1"/>
    <col min="8" max="8" width="19.1796875" bestFit="1" customWidth="1"/>
    <col min="9" max="9" width="13.08984375" bestFit="1" customWidth="1"/>
    <col min="10" max="10" width="15.90625" bestFit="1" customWidth="1"/>
    <col min="11" max="26" width="20.26953125" customWidth="1"/>
  </cols>
  <sheetData>
    <row r="1" spans="1:26" s="18" customFormat="1" ht="15.75" customHeight="1" x14ac:dyDescent="0.55000000000000004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48</v>
      </c>
      <c r="J1" s="29" t="s">
        <v>8</v>
      </c>
      <c r="K1" s="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15.75" customHeight="1" x14ac:dyDescent="0.55000000000000004">
      <c r="A2" s="21">
        <v>1</v>
      </c>
      <c r="B2" s="21" t="s">
        <v>9</v>
      </c>
      <c r="C2" s="21">
        <v>42222.530059999997</v>
      </c>
      <c r="D2" s="21">
        <f>C2*VLOOKUP(B2,'Airport MI'!$A$2:$F$100,2,FALSE)</f>
        <v>10133407.214399999</v>
      </c>
      <c r="E2" s="21">
        <f>C2*VLOOKUP(B2,'Airport MI'!$A$2:$F$100,3,FALSE)</f>
        <v>0</v>
      </c>
      <c r="F2" s="21">
        <f>C2*VLOOKUP(B2,'Airport MI'!$A$2:$F$100,3,FALSE)</f>
        <v>0</v>
      </c>
      <c r="G2" s="21">
        <f>C2*VLOOKUP(B2,'Airport MI'!$A$2:$F$100,4,FALSE)</f>
        <v>30400221.643199999</v>
      </c>
      <c r="H2" s="21">
        <f>C2*VLOOKUP(B2,'Airport MI'!$A$2:$F$100,5,FALSE)</f>
        <v>10640077.57512</v>
      </c>
      <c r="I2" s="21">
        <f t="shared" ref="I2:I4" si="0">SUM(D2:H2)</f>
        <v>51173706.432719998</v>
      </c>
      <c r="J2" s="21">
        <f t="shared" ref="J2:J4" si="1">I2/1000</f>
        <v>51173.706432719999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55000000000000004">
      <c r="A3" s="21">
        <v>2</v>
      </c>
      <c r="B3" s="21" t="s">
        <v>10</v>
      </c>
      <c r="C3" s="21">
        <v>2971.001741</v>
      </c>
      <c r="D3" s="21">
        <f>C3*VLOOKUP(B3,'Airport MI'!$A$2:$F$100,2,FALSE)</f>
        <v>713040.41784000001</v>
      </c>
      <c r="E3" s="21">
        <f>C3*VLOOKUP(B3,'Airport MI'!$A$2:$F$100,3,FALSE)</f>
        <v>0</v>
      </c>
      <c r="F3" s="21">
        <f>C3*VLOOKUP(B3,'Airport MI'!$A$2:$F$100,3,FALSE)</f>
        <v>0</v>
      </c>
      <c r="G3" s="21">
        <f>C3*VLOOKUP(B3,'Airport MI'!$A$2:$F$100,4,FALSE)</f>
        <v>2139121.2535199998</v>
      </c>
      <c r="H3" s="21">
        <f>C3*VLOOKUP(B3,'Airport MI'!$A$2:$F$100,5,FALSE)</f>
        <v>748692.43873200007</v>
      </c>
      <c r="I3" s="21">
        <f t="shared" si="0"/>
        <v>3600854.1100920001</v>
      </c>
      <c r="J3" s="21">
        <f t="shared" si="1"/>
        <v>3600.8541100920002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55000000000000004">
      <c r="A4" s="21">
        <v>3</v>
      </c>
      <c r="B4" s="21" t="s">
        <v>11</v>
      </c>
      <c r="C4" s="21">
        <v>8253.4509730000009</v>
      </c>
      <c r="D4" s="21">
        <f>C4*VLOOKUP(B4,'Airport MI'!$A$2:$F$100,2,FALSE)</f>
        <v>0</v>
      </c>
      <c r="E4" s="21">
        <f>C4*VLOOKUP(B4,'Airport MI'!$A$2:$F$100,3,FALSE)</f>
        <v>2971242.3502800004</v>
      </c>
      <c r="F4" s="21">
        <f>C4*VLOOKUP(B4,'Airport MI'!$A$2:$F$100,3,FALSE)</f>
        <v>2971242.3502800004</v>
      </c>
      <c r="G4" s="21">
        <f>C4*VLOOKUP(B4,'Airport MI'!$A$2:$F$100,4,FALSE)</f>
        <v>5942484.7005600007</v>
      </c>
      <c r="H4" s="21">
        <f>C4*VLOOKUP(B4,'Airport MI'!$A$2:$F$100,5,FALSE)</f>
        <v>0</v>
      </c>
      <c r="I4" s="21">
        <f t="shared" si="0"/>
        <v>11884969.401120001</v>
      </c>
      <c r="J4" s="21">
        <f t="shared" si="1"/>
        <v>11884.969401120001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55000000000000004">
      <c r="A5" s="25" t="s">
        <v>51</v>
      </c>
      <c r="B5" s="27"/>
      <c r="C5" s="26"/>
      <c r="D5" s="21">
        <f>SUM(D2:D4)</f>
        <v>10846447.632239999</v>
      </c>
      <c r="E5" s="21">
        <f t="shared" ref="E5:J5" si="2">SUM(E2:E4)</f>
        <v>2971242.3502800004</v>
      </c>
      <c r="F5" s="21">
        <f t="shared" si="2"/>
        <v>2971242.3502800004</v>
      </c>
      <c r="G5" s="21">
        <f t="shared" si="2"/>
        <v>38481827.597280003</v>
      </c>
      <c r="H5" s="21">
        <f t="shared" si="2"/>
        <v>11388770.013852</v>
      </c>
      <c r="I5" s="21">
        <f t="shared" si="2"/>
        <v>66659529.943931997</v>
      </c>
      <c r="J5" s="28">
        <f t="shared" si="2"/>
        <v>66659.529943931993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5500000000000000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5500000000000000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5500000000000000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5500000000000000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5500000000000000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5:C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0"/>
  <sheetViews>
    <sheetView tabSelected="1" workbookViewId="0">
      <pane ySplit="1" topLeftCell="A2" activePane="bottomLeft" state="frozen"/>
      <selection pane="bottomLeft" activeCell="B17" sqref="B17"/>
    </sheetView>
  </sheetViews>
  <sheetFormatPr defaultColWidth="12.6328125" defaultRowHeight="15.75" customHeight="1" x14ac:dyDescent="0.25"/>
  <cols>
    <col min="1" max="1" width="11.90625" bestFit="1" customWidth="1"/>
    <col min="2" max="2" width="21.90625" bestFit="1" customWidth="1"/>
  </cols>
  <sheetData>
    <row r="1" spans="1:26" ht="15.75" customHeight="1" x14ac:dyDescent="0.55000000000000004">
      <c r="A1" s="23" t="s">
        <v>18</v>
      </c>
      <c r="B1" s="23" t="s">
        <v>25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55000000000000004">
      <c r="A2" s="22" t="s">
        <v>11</v>
      </c>
      <c r="B2" s="22">
        <v>150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5500000000000000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5500000000000000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5500000000000000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5500000000000000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5500000000000000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5500000000000000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5500000000000000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MetaData</vt:lpstr>
      <vt:lpstr>Density</vt:lpstr>
      <vt:lpstr>Airport MI</vt:lpstr>
      <vt:lpstr>Thickness</vt:lpstr>
      <vt:lpstr>Airport MS</vt:lpstr>
      <vt:lpstr>Reinforcement Factor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Sumaita</cp:lastModifiedBy>
  <dcterms:modified xsi:type="dcterms:W3CDTF">2026-06-30T00:17:03Z</dcterms:modified>
</cp:coreProperties>
</file>